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76" yWindow="516" windowWidth="20820" windowHeight="23616" activeTab="1"/>
  </bookViews>
  <sheets>
    <sheet name="Problem 2" sheetId="1" r:id="rId1"/>
    <sheet name="Problem 3" sheetId="2" r:id="rId2"/>
    <sheet name="Problem 4" sheetId="3" r:id="rId3"/>
  </sheets>
  <definedNames>
    <definedName name="_xlfn.NORM.S.DIST" hidden="1">#NAME?</definedName>
    <definedName name="_xlfn.SINGLE" hidden="1">#NAME?</definedName>
    <definedName name="delta_t">#REF!</definedName>
    <definedName name="drift">#REF!</definedName>
    <definedName name="initial_value">#REF!</definedName>
    <definedName name="maturity">#REF!</definedName>
    <definedName name="monitoring_frequency">#REF!</definedName>
    <definedName name="Price">#REF!</definedName>
    <definedName name="PutCall">#REF!</definedName>
    <definedName name="r_">#REF!</definedName>
    <definedName name="rate">#REF!</definedName>
    <definedName name="recovery">#REF!</definedName>
    <definedName name="stock">#REF!</definedName>
    <definedName name="strike">#REF!</definedName>
    <definedName name="type">#REF!</definedName>
    <definedName name="volatility">#REF!</definedName>
  </definedNames>
  <calcPr fullCalcOnLoad="1"/>
</workbook>
</file>

<file path=xl/sharedStrings.xml><?xml version="1.0" encoding="utf-8"?>
<sst xmlns="http://schemas.openxmlformats.org/spreadsheetml/2006/main" count="123" uniqueCount="92">
  <si>
    <t>maturity</t>
  </si>
  <si>
    <t>stock</t>
  </si>
  <si>
    <t>strike</t>
  </si>
  <si>
    <t>PutCall</t>
  </si>
  <si>
    <t>rate</t>
  </si>
  <si>
    <t>divyield</t>
  </si>
  <si>
    <t>vola</t>
  </si>
  <si>
    <t>C</t>
  </si>
  <si>
    <t>Inputs</t>
  </si>
  <si>
    <t>Output</t>
  </si>
  <si>
    <t>price</t>
  </si>
  <si>
    <t>IV</t>
  </si>
  <si>
    <t>Example for use of VBA code for Black-Scholes option value</t>
  </si>
  <si>
    <t>Example for use of VBA code for Black-Scholes implied volatility</t>
  </si>
  <si>
    <t>K</t>
  </si>
  <si>
    <t>r</t>
  </si>
  <si>
    <t>sigma</t>
  </si>
  <si>
    <t>Delta</t>
  </si>
  <si>
    <t>S0</t>
  </si>
  <si>
    <t>a)</t>
  </si>
  <si>
    <t>u</t>
  </si>
  <si>
    <t>d</t>
  </si>
  <si>
    <t>q</t>
  </si>
  <si>
    <t>Q(S_3&lt;S2|S_2)</t>
  </si>
  <si>
    <t>b)</t>
  </si>
  <si>
    <t>S1</t>
  </si>
  <si>
    <t>S2</t>
  </si>
  <si>
    <t>Avg</t>
  </si>
  <si>
    <t>Payoff</t>
  </si>
  <si>
    <t>Discounted</t>
  </si>
  <si>
    <t>uu</t>
  </si>
  <si>
    <t xml:space="preserve">ud </t>
  </si>
  <si>
    <t xml:space="preserve">du </t>
  </si>
  <si>
    <t>dd</t>
  </si>
  <si>
    <t>Asian Put</t>
  </si>
  <si>
    <t>European Put</t>
  </si>
  <si>
    <t>d)</t>
  </si>
  <si>
    <t>Preis</t>
  </si>
  <si>
    <t>Ausübugnsrecht</t>
  </si>
  <si>
    <t>d1</t>
  </si>
  <si>
    <t>Phi(d1)</t>
  </si>
  <si>
    <t>d2</t>
  </si>
  <si>
    <t>Phi(d2)</t>
  </si>
  <si>
    <t>Geldmarkt</t>
  </si>
  <si>
    <t>c)</t>
  </si>
  <si>
    <t xml:space="preserve">Interpretation: </t>
  </si>
  <si>
    <t>Ein Marktpreis von 10,12 ist mit dem Black-Scholes Modell verträglich, wenn die Volatilität der Aktie 27,11% beträgt.</t>
  </si>
  <si>
    <t>Die Auflösung nach der impliziten Vola schlägt hier fehl</t>
  </si>
  <si>
    <t xml:space="preserve">d) </t>
  </si>
  <si>
    <t>Der Algorithmus hängt an seinem Startwert (nahe null fest)</t>
  </si>
  <si>
    <t>Die Gleichung lässt sich nicht auflösen</t>
  </si>
  <si>
    <t xml:space="preserve">Begründung: Arbitragegrenze ist verletzt </t>
  </si>
  <si>
    <t>Hier: C&lt;S-Kexp(-rT)   =</t>
  </si>
  <si>
    <t>Verkaufe das Replikationsportfolio und kaufe die Option -&gt; Arbitrage</t>
  </si>
  <si>
    <t>(a)</t>
  </si>
  <si>
    <t>Anfängliche Zinsstruktur ist flach</t>
  </si>
  <si>
    <t xml:space="preserve">Hump möglich bei </t>
  </si>
  <si>
    <t>B_0(T)=exp(-(0.1-a*T^2)*T</t>
  </si>
  <si>
    <t>für einen positive Wert von a. Es sind viele alternative Spezifikationen möglich</t>
  </si>
  <si>
    <t>(b)</t>
  </si>
  <si>
    <t>delta</t>
  </si>
  <si>
    <t>h</t>
  </si>
  <si>
    <t>h*</t>
  </si>
  <si>
    <t>B_0(1)</t>
  </si>
  <si>
    <t>B_0(2)</t>
  </si>
  <si>
    <t>B_0(3)</t>
  </si>
  <si>
    <t>t=0</t>
  </si>
  <si>
    <t>B^1_1(1)</t>
  </si>
  <si>
    <t>B^1_1(2)</t>
  </si>
  <si>
    <t>B^1_1(3)</t>
  </si>
  <si>
    <t>B^0_1(1)</t>
  </si>
  <si>
    <t>B^0_1(2)</t>
  </si>
  <si>
    <t>B^0_1(3)</t>
  </si>
  <si>
    <t>t=1</t>
  </si>
  <si>
    <t>B^2_2(2)</t>
  </si>
  <si>
    <t>B^2_2(3)</t>
  </si>
  <si>
    <t>t=2</t>
  </si>
  <si>
    <t>B^1_2(2)</t>
  </si>
  <si>
    <t>B^1_2(3)</t>
  </si>
  <si>
    <t>B^0_2(2)</t>
  </si>
  <si>
    <t>B^0_2(3)</t>
  </si>
  <si>
    <t>t=3</t>
  </si>
  <si>
    <t>B^3_3(3)</t>
  </si>
  <si>
    <t>B^0_3(3)</t>
  </si>
  <si>
    <t>B^1_3(3)</t>
  </si>
  <si>
    <t>B^2_3(3)</t>
  </si>
  <si>
    <t>r0</t>
  </si>
  <si>
    <t>Strike-Preis</t>
  </si>
  <si>
    <t>Put</t>
  </si>
  <si>
    <t>u-&gt; d</t>
  </si>
  <si>
    <t>d-&gt; u</t>
  </si>
  <si>
    <t xml:space="preserve">Europäischer Put ist teurer, da er weniger glattgestellt ist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</si>
</sst>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_);\(&quot;£&quot;#,##0\)"/>
    <numFmt numFmtId="175" formatCode="&quot;£&quot;#,##0_);[Red]\(&quot;£&quot;#,##0\)"/>
    <numFmt numFmtId="176" formatCode="&quot;£&quot;#,##0.00_);\(&quot;£&quot;#,##0.00\)"/>
    <numFmt numFmtId="177" formatCode="&quot;£&quot;#,##0.00_);[Red]\(&quot;£&quot;#,##0.00\)"/>
    <numFmt numFmtId="178" formatCode="_(&quot;£&quot;* #,##0_);_(&quot;£&quot;* \(#,##0\);_(&quot;£&quot;* &quot;-&quot;_);_(@_)"/>
    <numFmt numFmtId="179" formatCode="_(&quot;£&quot;* #,##0.00_);_(&quot;£&quot;* \(#,##0.00\);_(&quot;£&quot;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0"/>
    <numFmt numFmtId="187" formatCode="General_)"/>
    <numFmt numFmtId="188" formatCode="0.000"/>
    <numFmt numFmtId="189" formatCode="0.00000"/>
    <numFmt numFmtId="190" formatCode="0.0%"/>
    <numFmt numFmtId="191" formatCode="#\ ???/???"/>
    <numFmt numFmtId="192" formatCode="0.000000"/>
    <numFmt numFmtId="193" formatCode="0.0"/>
    <numFmt numFmtId="194" formatCode="0.0000000000"/>
    <numFmt numFmtId="195" formatCode="0.000000000"/>
    <numFmt numFmtId="196" formatCode="0.00000000"/>
    <numFmt numFmtId="197" formatCode="0.0000000"/>
  </numFmts>
  <fonts count="4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86" fontId="6" fillId="33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2:I40"/>
  <sheetViews>
    <sheetView zoomScalePageLayoutView="0" workbookViewId="0" topLeftCell="A1">
      <selection activeCell="D18" sqref="D18"/>
    </sheetView>
  </sheetViews>
  <sheetFormatPr defaultColWidth="12" defaultRowHeight="12.75"/>
  <cols>
    <col min="1" max="2" width="11.5" style="1" customWidth="1"/>
    <col min="3" max="3" width="15.16015625" style="1" customWidth="1"/>
    <col min="4" max="16384" width="11.5" style="1" customWidth="1"/>
  </cols>
  <sheetData>
    <row r="2" spans="2:3" ht="15">
      <c r="B2" s="1" t="s">
        <v>14</v>
      </c>
      <c r="C2" s="1">
        <v>45</v>
      </c>
    </row>
    <row r="3" spans="2:3" ht="15">
      <c r="B3" s="1" t="s">
        <v>16</v>
      </c>
      <c r="C3" s="1">
        <v>0.2</v>
      </c>
    </row>
    <row r="4" spans="2:3" ht="15">
      <c r="B4" s="1" t="s">
        <v>18</v>
      </c>
      <c r="C4" s="1">
        <v>50</v>
      </c>
    </row>
    <row r="5" spans="2:3" ht="15">
      <c r="B5" s="1" t="s">
        <v>15</v>
      </c>
      <c r="C5" s="1">
        <v>0.01</v>
      </c>
    </row>
    <row r="6" ht="15">
      <c r="C6" s="1" t="s">
        <v>19</v>
      </c>
    </row>
    <row r="7" spans="2:4" ht="15">
      <c r="B7" s="1" t="s">
        <v>19</v>
      </c>
      <c r="C7" s="1" t="s">
        <v>20</v>
      </c>
      <c r="D7" s="1">
        <f>EXP(C3)-1</f>
        <v>0.22140275816016985</v>
      </c>
    </row>
    <row r="8" spans="3:4" ht="15">
      <c r="C8" s="1" t="s">
        <v>21</v>
      </c>
      <c r="D8" s="1">
        <f>EXP(-C3)-1</f>
        <v>-0.18126924692201818</v>
      </c>
    </row>
    <row r="9" spans="3:4" ht="15">
      <c r="C9" s="1" t="s">
        <v>22</v>
      </c>
      <c r="D9" s="1">
        <f>(C5-D8)/(D7-D8)</f>
        <v>0.47500011053159474</v>
      </c>
    </row>
    <row r="10" spans="3:4" ht="15">
      <c r="C10" s="1" t="s">
        <v>23</v>
      </c>
      <c r="D10" s="2">
        <f>1-D9</f>
        <v>0.5249998894684053</v>
      </c>
    </row>
    <row r="12" ht="15">
      <c r="B12" s="1" t="s">
        <v>24</v>
      </c>
    </row>
    <row r="13" spans="3:5" ht="15">
      <c r="C13" s="1" t="s">
        <v>24</v>
      </c>
      <c r="E13" s="1">
        <f>D14*(1+D7)</f>
        <v>74.59123488206352</v>
      </c>
    </row>
    <row r="14" ht="15">
      <c r="D14" s="1">
        <f>C15*(1+D7)</f>
        <v>61.07013790800849</v>
      </c>
    </row>
    <row r="15" spans="3:5" ht="15">
      <c r="C15" s="1">
        <f>C4</f>
        <v>50</v>
      </c>
      <c r="E15" s="1">
        <f>C15</f>
        <v>50</v>
      </c>
    </row>
    <row r="16" ht="15">
      <c r="D16" s="1">
        <f>C15*(1+D8)</f>
        <v>40.936537653899094</v>
      </c>
    </row>
    <row r="17" ht="15">
      <c r="E17" s="1">
        <f>D16*(1+D8)</f>
        <v>33.51600230178197</v>
      </c>
    </row>
    <row r="19" spans="4:9" ht="15">
      <c r="D19" s="1" t="s">
        <v>18</v>
      </c>
      <c r="E19" s="1" t="s">
        <v>25</v>
      </c>
      <c r="F19" s="1" t="s">
        <v>26</v>
      </c>
      <c r="G19" s="1" t="s">
        <v>27</v>
      </c>
      <c r="H19" s="1" t="s">
        <v>28</v>
      </c>
      <c r="I19" s="1" t="s">
        <v>29</v>
      </c>
    </row>
    <row r="20" spans="3:9" ht="15">
      <c r="C20" s="1" t="s">
        <v>30</v>
      </c>
      <c r="D20" s="1">
        <f>C15</f>
        <v>50</v>
      </c>
      <c r="E20" s="1">
        <f>D14</f>
        <v>61.07013790800849</v>
      </c>
      <c r="F20" s="1">
        <f>E13</f>
        <v>74.59123488206352</v>
      </c>
      <c r="G20" s="1">
        <f>AVERAGE(D20:F20)</f>
        <v>61.88712426335733</v>
      </c>
      <c r="H20" s="1">
        <f>MAX($C$2-G20,0)</f>
        <v>0</v>
      </c>
      <c r="I20" s="1">
        <f>H20/(1+$C$5)^2*D9^2</f>
        <v>0</v>
      </c>
    </row>
    <row r="21" spans="3:9" ht="15">
      <c r="C21" s="1" t="s">
        <v>31</v>
      </c>
      <c r="D21" s="1">
        <f>D20</f>
        <v>50</v>
      </c>
      <c r="E21" s="1">
        <f>D14</f>
        <v>61.07013790800849</v>
      </c>
      <c r="F21" s="1">
        <f>E15</f>
        <v>50</v>
      </c>
      <c r="G21" s="1">
        <f>AVERAGE(D21:F21)</f>
        <v>53.69004596933616</v>
      </c>
      <c r="H21" s="1">
        <f>MAX($C$2-G21,0)</f>
        <v>0</v>
      </c>
      <c r="I21" s="1">
        <f>H21/(1+$C$5)^2*D9*D10</f>
        <v>0</v>
      </c>
    </row>
    <row r="22" spans="3:9" ht="15">
      <c r="C22" s="1" t="s">
        <v>32</v>
      </c>
      <c r="D22" s="1">
        <f>D21</f>
        <v>50</v>
      </c>
      <c r="E22" s="1">
        <f>D16</f>
        <v>40.936537653899094</v>
      </c>
      <c r="F22" s="1">
        <f>F21</f>
        <v>50</v>
      </c>
      <c r="G22" s="1">
        <f>AVERAGE(D22:F22)</f>
        <v>46.97884588463304</v>
      </c>
      <c r="H22" s="1">
        <f>MAX($C$2-G22,0)</f>
        <v>0</v>
      </c>
      <c r="I22" s="1">
        <f>H22/(1+$C$5)^2*D9*D10</f>
        <v>0</v>
      </c>
    </row>
    <row r="23" spans="3:9" ht="15">
      <c r="C23" s="1" t="s">
        <v>33</v>
      </c>
      <c r="D23" s="1">
        <f>D22</f>
        <v>50</v>
      </c>
      <c r="E23" s="1">
        <f>D16</f>
        <v>40.936537653899094</v>
      </c>
      <c r="F23" s="1">
        <f>E17</f>
        <v>33.51600230178197</v>
      </c>
      <c r="G23" s="1">
        <f>AVERAGE(D23:F23)</f>
        <v>41.48417998522702</v>
      </c>
      <c r="H23" s="1">
        <f>MAX($C$2-G23,0)</f>
        <v>3.5158200147729772</v>
      </c>
      <c r="I23" s="1">
        <f>H23/(1+$C$5)^2*D10^2</f>
        <v>0.9499534197943262</v>
      </c>
    </row>
    <row r="25" spans="8:9" ht="15">
      <c r="H25" s="1" t="s">
        <v>34</v>
      </c>
      <c r="I25" s="2">
        <f>SUM(I20:I23)</f>
        <v>0.9499534197943262</v>
      </c>
    </row>
    <row r="27" spans="8:9" ht="15">
      <c r="H27" s="1" t="s">
        <v>35</v>
      </c>
      <c r="I27" s="2">
        <f>(C2-E17)*D10^2/(1+C5)^2</f>
        <v>3.1029071000486987</v>
      </c>
    </row>
    <row r="29" ht="15">
      <c r="D29" s="1" t="s">
        <v>91</v>
      </c>
    </row>
    <row r="32" spans="3:5" ht="15">
      <c r="C32" s="1" t="s">
        <v>36</v>
      </c>
      <c r="D32" s="1" t="s">
        <v>14</v>
      </c>
      <c r="E32" s="1">
        <v>20</v>
      </c>
    </row>
    <row r="34" spans="4:5" ht="15">
      <c r="D34" s="1" t="s">
        <v>37</v>
      </c>
      <c r="E34" s="2">
        <v>0</v>
      </c>
    </row>
    <row r="35" spans="4:5" ht="15">
      <c r="D35" s="1" t="s">
        <v>38</v>
      </c>
      <c r="E35" s="2">
        <v>0</v>
      </c>
    </row>
    <row r="39" spans="3:5" ht="15">
      <c r="C39" s="1" t="s">
        <v>44</v>
      </c>
      <c r="D39" s="1" t="s">
        <v>89</v>
      </c>
      <c r="E39" s="2">
        <v>0</v>
      </c>
    </row>
    <row r="40" spans="4:5" ht="15">
      <c r="D40" s="1" t="s">
        <v>90</v>
      </c>
      <c r="E40" s="2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H30"/>
  <sheetViews>
    <sheetView tabSelected="1" zoomScalePageLayoutView="0" workbookViewId="0" topLeftCell="A1">
      <selection activeCell="J12" sqref="J12"/>
    </sheetView>
  </sheetViews>
  <sheetFormatPr defaultColWidth="12" defaultRowHeight="12.75"/>
  <cols>
    <col min="1" max="1" width="13.5" style="1" customWidth="1"/>
    <col min="2" max="2" width="11.16015625" style="1" bestFit="1" customWidth="1"/>
    <col min="3" max="3" width="12.5" style="1" bestFit="1" customWidth="1"/>
    <col min="4" max="4" width="12.83203125" style="1" bestFit="1" customWidth="1"/>
    <col min="5" max="6" width="11.5" style="1" customWidth="1"/>
    <col min="7" max="7" width="24.16015625" style="1" customWidth="1"/>
    <col min="8" max="8" width="11.5" style="1" customWidth="1"/>
    <col min="9" max="16384" width="11.5" style="1" customWidth="1"/>
  </cols>
  <sheetData>
    <row r="1" ht="15">
      <c r="A1" s="3" t="s">
        <v>12</v>
      </c>
    </row>
    <row r="2" spans="1:2" ht="15">
      <c r="A2" s="4" t="s">
        <v>8</v>
      </c>
      <c r="B2" s="5"/>
    </row>
    <row r="3" spans="1:7" ht="15">
      <c r="A3" s="4" t="s">
        <v>3</v>
      </c>
      <c r="B3" s="4" t="s">
        <v>7</v>
      </c>
      <c r="D3" s="1" t="s">
        <v>39</v>
      </c>
      <c r="E3" s="1">
        <f>(LN(B4/B5)+(B6+0.5*B9^2)*B8)/(B9*SQRT(B8))</f>
        <v>0.8032261374104595</v>
      </c>
      <c r="F3" s="1" t="s">
        <v>40</v>
      </c>
      <c r="G3" s="1">
        <f>_xlfn.NORM.S.DIST(E3,TRUE)</f>
        <v>0.7890779795517645</v>
      </c>
    </row>
    <row r="4" spans="1:7" ht="15">
      <c r="A4" s="4" t="s">
        <v>1</v>
      </c>
      <c r="B4" s="4">
        <v>30</v>
      </c>
      <c r="D4" s="1" t="s">
        <v>41</v>
      </c>
      <c r="E4" s="1">
        <f>E3-B9*SQRT(B8)</f>
        <v>0.5260980081994391</v>
      </c>
      <c r="F4" s="1" t="s">
        <v>42</v>
      </c>
      <c r="G4" s="1">
        <f>_xlfn.NORM.S.DIST(E4,TRUE)</f>
        <v>0.7005899437482811</v>
      </c>
    </row>
    <row r="5" spans="1:2" ht="15">
      <c r="A5" s="4" t="s">
        <v>2</v>
      </c>
      <c r="B5" s="4">
        <v>25</v>
      </c>
    </row>
    <row r="6" spans="1:7" ht="15">
      <c r="A6" s="4" t="s">
        <v>4</v>
      </c>
      <c r="B6" s="4">
        <v>0.0025</v>
      </c>
      <c r="E6" s="1" t="s">
        <v>19</v>
      </c>
      <c r="F6" s="1" t="s">
        <v>7</v>
      </c>
      <c r="G6" s="2">
        <f>B4*G3-B5*EXP(-B6*B8)*G4</f>
        <v>6.190400178048357</v>
      </c>
    </row>
    <row r="7" spans="1:7" ht="15">
      <c r="A7" s="4" t="s">
        <v>5</v>
      </c>
      <c r="B7" s="4">
        <v>0</v>
      </c>
      <c r="E7" s="1" t="s">
        <v>24</v>
      </c>
      <c r="F7" s="1" t="s">
        <v>17</v>
      </c>
      <c r="G7" s="2">
        <f>G3</f>
        <v>0.7890779795517645</v>
      </c>
    </row>
    <row r="8" spans="1:7" ht="15">
      <c r="A8" s="4" t="s">
        <v>0</v>
      </c>
      <c r="B8" s="4">
        <v>0.75</v>
      </c>
      <c r="F8" s="1" t="s">
        <v>43</v>
      </c>
      <c r="G8" s="2">
        <f>-G4*B5*EXP(-B6*B8)</f>
        <v>-17.481939208504578</v>
      </c>
    </row>
    <row r="9" spans="1:2" ht="15">
      <c r="A9" s="4" t="s">
        <v>6</v>
      </c>
      <c r="B9" s="4">
        <v>0.32</v>
      </c>
    </row>
    <row r="11" ht="15">
      <c r="A11" s="3" t="s">
        <v>13</v>
      </c>
    </row>
    <row r="12" spans="1:4" ht="15">
      <c r="A12" s="4" t="s">
        <v>8</v>
      </c>
      <c r="B12" s="5"/>
      <c r="C12" s="6" t="s">
        <v>9</v>
      </c>
      <c r="D12" s="9" t="s">
        <v>44</v>
      </c>
    </row>
    <row r="13" spans="1:4" ht="15">
      <c r="A13" s="4" t="s">
        <v>3</v>
      </c>
      <c r="B13" s="4" t="s">
        <v>7</v>
      </c>
      <c r="C13" s="7" t="s">
        <v>11</v>
      </c>
      <c r="D13" s="8">
        <f>BlackScholesImpliedVola(B13,B14,B15,B16,B17,B18,B19)</f>
        <v>0.2711045761108398</v>
      </c>
    </row>
    <row r="14" spans="1:2" ht="15">
      <c r="A14" s="4" t="s">
        <v>1</v>
      </c>
      <c r="B14" s="4">
        <v>35</v>
      </c>
    </row>
    <row r="15" spans="1:4" ht="15">
      <c r="A15" s="4" t="s">
        <v>2</v>
      </c>
      <c r="B15" s="4">
        <v>25</v>
      </c>
      <c r="D15" s="1" t="s">
        <v>45</v>
      </c>
    </row>
    <row r="16" spans="1:2" ht="15">
      <c r="A16" s="4" t="s">
        <v>4</v>
      </c>
      <c r="B16" s="4">
        <v>0.0025</v>
      </c>
    </row>
    <row r="17" spans="1:4" ht="15">
      <c r="A17" s="4" t="s">
        <v>5</v>
      </c>
      <c r="B17" s="4">
        <v>0</v>
      </c>
      <c r="D17" s="1" t="s">
        <v>46</v>
      </c>
    </row>
    <row r="18" spans="1:2" ht="15">
      <c r="A18" s="4" t="s">
        <v>0</v>
      </c>
      <c r="B18" s="4">
        <v>0.5</v>
      </c>
    </row>
    <row r="19" spans="1:2" ht="15">
      <c r="A19" s="4" t="s">
        <v>10</v>
      </c>
      <c r="B19" s="4">
        <v>10.12</v>
      </c>
    </row>
    <row r="22" ht="15">
      <c r="A22" s="3" t="s">
        <v>13</v>
      </c>
    </row>
    <row r="23" spans="1:4" ht="15">
      <c r="A23" s="4" t="s">
        <v>8</v>
      </c>
      <c r="B23" s="5"/>
      <c r="C23" s="6" t="s">
        <v>9</v>
      </c>
      <c r="D23" s="9" t="s">
        <v>48</v>
      </c>
    </row>
    <row r="24" spans="1:4" ht="15">
      <c r="A24" s="4" t="s">
        <v>3</v>
      </c>
      <c r="B24" s="4" t="s">
        <v>7</v>
      </c>
      <c r="C24" s="7" t="s">
        <v>11</v>
      </c>
      <c r="D24" s="8">
        <f>BlackScholesImpliedVola(B24,B25,B26,B27,B28,B29,B30)</f>
        <v>0.001</v>
      </c>
    </row>
    <row r="25" spans="1:2" ht="15">
      <c r="A25" s="4" t="s">
        <v>1</v>
      </c>
      <c r="B25" s="4">
        <v>32.18</v>
      </c>
    </row>
    <row r="26" spans="1:4" ht="15">
      <c r="A26" s="4" t="s">
        <v>2</v>
      </c>
      <c r="B26" s="4">
        <v>25</v>
      </c>
      <c r="D26" s="1" t="s">
        <v>47</v>
      </c>
    </row>
    <row r="27" spans="1:4" ht="15">
      <c r="A27" s="4" t="s">
        <v>4</v>
      </c>
      <c r="B27" s="4">
        <v>0.0025</v>
      </c>
      <c r="D27" s="1" t="s">
        <v>49</v>
      </c>
    </row>
    <row r="28" spans="1:4" ht="15">
      <c r="A28" s="4" t="s">
        <v>5</v>
      </c>
      <c r="B28" s="4">
        <v>0</v>
      </c>
      <c r="D28" s="1" t="s">
        <v>50</v>
      </c>
    </row>
    <row r="29" spans="1:4" ht="15">
      <c r="A29" s="4" t="s">
        <v>0</v>
      </c>
      <c r="B29" s="4">
        <v>0.25</v>
      </c>
      <c r="D29" s="1" t="s">
        <v>51</v>
      </c>
    </row>
    <row r="30" spans="1:8" ht="15">
      <c r="A30" s="4" t="s">
        <v>10</v>
      </c>
      <c r="B30" s="4">
        <v>5.19</v>
      </c>
      <c r="D30" s="1" t="s">
        <v>52</v>
      </c>
      <c r="G30" s="1">
        <f>B25-B26*EXP(-B27*B29)</f>
        <v>7.195620118204591</v>
      </c>
      <c r="H30" s="1" t="s">
        <v>53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3:J51"/>
  <sheetViews>
    <sheetView zoomScalePageLayoutView="0" workbookViewId="0" topLeftCell="A1">
      <selection activeCell="C54" sqref="C54"/>
    </sheetView>
  </sheetViews>
  <sheetFormatPr defaultColWidth="12" defaultRowHeight="12.75"/>
  <cols>
    <col min="1" max="16384" width="11.5" style="1" customWidth="1"/>
  </cols>
  <sheetData>
    <row r="3" spans="2:3" ht="15">
      <c r="B3" s="1" t="s">
        <v>54</v>
      </c>
      <c r="C3" s="1" t="s">
        <v>55</v>
      </c>
    </row>
    <row r="5" ht="15">
      <c r="C5" s="1" t="s">
        <v>56</v>
      </c>
    </row>
    <row r="7" ht="15">
      <c r="C7" s="1" t="s">
        <v>57</v>
      </c>
    </row>
    <row r="9" ht="15">
      <c r="C9" s="1" t="s">
        <v>58</v>
      </c>
    </row>
    <row r="11" spans="2:4" ht="15">
      <c r="B11" s="1" t="s">
        <v>59</v>
      </c>
      <c r="C11" s="1" t="s">
        <v>22</v>
      </c>
      <c r="D11" s="1">
        <v>0.5</v>
      </c>
    </row>
    <row r="12" spans="3:4" ht="15">
      <c r="C12" s="1" t="s">
        <v>60</v>
      </c>
      <c r="D12" s="1">
        <v>0.95</v>
      </c>
    </row>
    <row r="13" spans="3:4" ht="15">
      <c r="C13" s="1" t="s">
        <v>86</v>
      </c>
      <c r="D13" s="1">
        <v>0.1</v>
      </c>
    </row>
    <row r="14" spans="4:6" ht="15">
      <c r="D14" s="1">
        <v>1</v>
      </c>
      <c r="E14" s="1">
        <v>2</v>
      </c>
      <c r="F14" s="1">
        <v>3</v>
      </c>
    </row>
    <row r="15" spans="3:6" ht="15">
      <c r="C15" s="1" t="s">
        <v>61</v>
      </c>
      <c r="D15" s="1">
        <f>1/($D$11+(1-$D$11)*$D$12^D14)</f>
        <v>1.0256410256410258</v>
      </c>
      <c r="E15" s="1">
        <f>1/($D$11+(1-$D$11)*$D$12^E14)</f>
        <v>1.0512483574244416</v>
      </c>
      <c r="F15" s="1">
        <f>1/($D$11+(1-$D$11)*$D$12^F14)</f>
        <v>1.0767884783632817</v>
      </c>
    </row>
    <row r="16" spans="3:6" ht="15">
      <c r="C16" s="1" t="s">
        <v>62</v>
      </c>
      <c r="D16" s="1">
        <f>D15*$D$12^D14</f>
        <v>0.9743589743589745</v>
      </c>
      <c r="E16" s="1">
        <f>E15*$D$12^E14</f>
        <v>0.9487516425755584</v>
      </c>
      <c r="F16" s="1">
        <f>F15*$D$12^F14</f>
        <v>0.9232115216367186</v>
      </c>
    </row>
    <row r="21" ht="15">
      <c r="I21" s="1" t="s">
        <v>81</v>
      </c>
    </row>
    <row r="22" ht="15">
      <c r="G22" s="1" t="s">
        <v>76</v>
      </c>
    </row>
    <row r="25" spans="5:10" ht="15">
      <c r="E25" s="1" t="s">
        <v>73</v>
      </c>
      <c r="I25" s="1" t="s">
        <v>82</v>
      </c>
      <c r="J25" s="1">
        <v>1</v>
      </c>
    </row>
    <row r="26" spans="7:8" ht="15">
      <c r="G26" s="1" t="s">
        <v>74</v>
      </c>
      <c r="H26" s="1">
        <v>1</v>
      </c>
    </row>
    <row r="27" spans="7:8" ht="15">
      <c r="G27" s="1" t="s">
        <v>75</v>
      </c>
      <c r="H27" s="1">
        <f>F30/F29*D15</f>
        <v>0.9512088494464753</v>
      </c>
    </row>
    <row r="28" spans="5:6" ht="15">
      <c r="E28" s="1" t="s">
        <v>67</v>
      </c>
      <c r="F28" s="1">
        <v>1</v>
      </c>
    </row>
    <row r="29" spans="3:6" ht="15">
      <c r="C29" s="1" t="s">
        <v>66</v>
      </c>
      <c r="E29" s="1" t="s">
        <v>68</v>
      </c>
      <c r="F29" s="1">
        <f>D32/D31*D15</f>
        <v>0.9280383774727792</v>
      </c>
    </row>
    <row r="30" spans="5:6" ht="15">
      <c r="E30" s="1" t="s">
        <v>69</v>
      </c>
      <c r="F30" s="1">
        <f>D33/D31*E15</f>
        <v>0.8606893593461046</v>
      </c>
    </row>
    <row r="31" spans="3:10" ht="15">
      <c r="C31" s="1" t="s">
        <v>63</v>
      </c>
      <c r="D31" s="1">
        <f>EXP(-D13)</f>
        <v>0.9048374180359595</v>
      </c>
      <c r="I31" s="1" t="s">
        <v>85</v>
      </c>
      <c r="J31" s="1">
        <v>1</v>
      </c>
    </row>
    <row r="32" spans="3:8" ht="15">
      <c r="C32" s="1" t="s">
        <v>64</v>
      </c>
      <c r="D32" s="1">
        <f>EXP(-2*D13)</f>
        <v>0.8187307530779818</v>
      </c>
      <c r="G32" s="1" t="s">
        <v>77</v>
      </c>
      <c r="H32" s="1">
        <v>1</v>
      </c>
    </row>
    <row r="33" spans="3:8" ht="15">
      <c r="C33" s="1" t="s">
        <v>65</v>
      </c>
      <c r="D33" s="1">
        <f>EXP(-3*D13)</f>
        <v>0.7408182206817179</v>
      </c>
      <c r="G33" s="1" t="s">
        <v>78</v>
      </c>
      <c r="H33" s="1">
        <f>H27*D12</f>
        <v>0.9036484069741515</v>
      </c>
    </row>
    <row r="34" spans="5:6" ht="15">
      <c r="E34" s="1" t="s">
        <v>70</v>
      </c>
      <c r="F34" s="1">
        <v>1</v>
      </c>
    </row>
    <row r="35" spans="5:6" ht="15">
      <c r="E35" s="1" t="s">
        <v>71</v>
      </c>
      <c r="F35" s="1">
        <f>D12*F29</f>
        <v>0.8816364585991402</v>
      </c>
    </row>
    <row r="36" spans="5:6" ht="15">
      <c r="E36" s="1" t="s">
        <v>72</v>
      </c>
      <c r="F36" s="1">
        <f>F30*D12^2</f>
        <v>0.7767721468098594</v>
      </c>
    </row>
    <row r="37" spans="9:10" ht="15">
      <c r="I37" s="1" t="s">
        <v>84</v>
      </c>
      <c r="J37" s="1">
        <v>1</v>
      </c>
    </row>
    <row r="38" spans="7:8" ht="15">
      <c r="G38" s="1" t="s">
        <v>79</v>
      </c>
      <c r="H38" s="1">
        <v>1</v>
      </c>
    </row>
    <row r="39" spans="7:8" ht="15">
      <c r="G39" s="1" t="s">
        <v>80</v>
      </c>
      <c r="H39" s="1">
        <f>F36/F35*D16</f>
        <v>0.858465986625444</v>
      </c>
    </row>
    <row r="40" spans="9:10" ht="15">
      <c r="I40" s="1" t="s">
        <v>83</v>
      </c>
      <c r="J40" s="1">
        <v>1</v>
      </c>
    </row>
    <row r="45" spans="2:3" ht="15">
      <c r="B45" s="1" t="s">
        <v>44</v>
      </c>
      <c r="C45" s="1">
        <v>1000</v>
      </c>
    </row>
    <row r="47" spans="2:8" ht="15">
      <c r="B47" s="1" t="s">
        <v>36</v>
      </c>
      <c r="C47" s="1" t="s">
        <v>87</v>
      </c>
      <c r="D47" s="1">
        <f>D33*EXP(2*D13)</f>
        <v>0.9048374180359596</v>
      </c>
      <c r="H47" s="1">
        <f>MAX(D48*(H27-D47),0)</f>
        <v>0.046371431410515696</v>
      </c>
    </row>
    <row r="48" spans="3:7" ht="15">
      <c r="C48" s="1" t="s">
        <v>88</v>
      </c>
      <c r="D48" s="1">
        <v>1</v>
      </c>
      <c r="G48" s="1">
        <f>(D11*H47+(1-D11)*H49)*F29</f>
        <v>0.02151723398365263</v>
      </c>
    </row>
    <row r="49" spans="6:8" ht="15">
      <c r="F49" s="2">
        <f>(D11*G48+(1-D11)*G50)*D31</f>
        <v>0.009734799220521924</v>
      </c>
      <c r="H49" s="1">
        <f>MAX(D48*(H33-D47),0)</f>
        <v>0</v>
      </c>
    </row>
    <row r="50" ht="15">
      <c r="G50" s="1">
        <f>(D11*H49+(1-D11)*H51)*F35</f>
        <v>0</v>
      </c>
    </row>
    <row r="51" ht="15">
      <c r="H51" s="1">
        <f>MAX(D48*(H39-D47),0)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 Hambel</cp:lastModifiedBy>
  <cp:lastPrinted>2020-07-02T16:28:43Z</cp:lastPrinted>
  <dcterms:created xsi:type="dcterms:W3CDTF">1997-06-13T13:38:33Z</dcterms:created>
  <dcterms:modified xsi:type="dcterms:W3CDTF">2021-07-22T06:44:22Z</dcterms:modified>
  <cp:category/>
  <cp:version/>
  <cp:contentType/>
  <cp:contentStatus/>
</cp:coreProperties>
</file>